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 -Rozpracované projekty\odpady a BRKO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K15" i="1" l="1"/>
  <c r="K49" i="1" l="1"/>
  <c r="M15" i="1" l="1"/>
  <c r="O15" i="1" s="1"/>
  <c r="O6" i="1"/>
  <c r="O7" i="1"/>
  <c r="O8" i="1"/>
  <c r="O9" i="1"/>
  <c r="O10" i="1"/>
  <c r="O11" i="1"/>
  <c r="O12" i="1"/>
  <c r="O13" i="1"/>
  <c r="O14" i="1"/>
  <c r="O5" i="1"/>
  <c r="O4" i="1"/>
  <c r="B31" i="1"/>
  <c r="E65" i="1" l="1"/>
  <c r="K14" i="1"/>
  <c r="K13" i="1"/>
  <c r="M13" i="1"/>
  <c r="K12" i="1"/>
  <c r="M12" i="1" s="1"/>
  <c r="K48" i="1"/>
  <c r="K64" i="1"/>
  <c r="K63" i="1"/>
  <c r="K62" i="1"/>
  <c r="K61" i="1"/>
  <c r="K60" i="1"/>
  <c r="K59" i="1"/>
  <c r="J65" i="1"/>
  <c r="I65" i="1"/>
  <c r="H65" i="1"/>
  <c r="G65" i="1"/>
  <c r="F65" i="1"/>
  <c r="D65" i="1"/>
  <c r="C65" i="1"/>
  <c r="B65" i="1"/>
  <c r="K30" i="1"/>
  <c r="K29" i="1"/>
  <c r="K28" i="1"/>
  <c r="K27" i="1"/>
  <c r="K26" i="1"/>
  <c r="K25" i="1"/>
  <c r="K24" i="1"/>
  <c r="K23" i="1"/>
  <c r="K22" i="1"/>
  <c r="K20" i="1"/>
  <c r="K19" i="1"/>
  <c r="J31" i="1"/>
  <c r="I31" i="1"/>
  <c r="H31" i="1"/>
  <c r="G31" i="1"/>
  <c r="F31" i="1"/>
  <c r="E31" i="1"/>
  <c r="D31" i="1"/>
  <c r="C31" i="1"/>
  <c r="K21" i="1"/>
  <c r="M14" i="1"/>
  <c r="K58" i="1"/>
  <c r="K57" i="1"/>
  <c r="K56" i="1"/>
  <c r="K55" i="1"/>
  <c r="K53" i="1"/>
  <c r="K54" i="1"/>
  <c r="K47" i="1"/>
  <c r="K46" i="1"/>
  <c r="K45" i="1"/>
  <c r="K11" i="1"/>
  <c r="M11" i="1"/>
  <c r="I44" i="1"/>
  <c r="H44" i="1"/>
  <c r="G44" i="1"/>
  <c r="E44" i="1"/>
  <c r="I43" i="1"/>
  <c r="H43" i="1"/>
  <c r="G43" i="1"/>
  <c r="K43" i="1" s="1"/>
  <c r="E43" i="1"/>
  <c r="I42" i="1"/>
  <c r="H42" i="1"/>
  <c r="G42" i="1"/>
  <c r="E42" i="1"/>
  <c r="C42" i="1"/>
  <c r="B42" i="1"/>
  <c r="K42" i="1" s="1"/>
  <c r="I41" i="1"/>
  <c r="H41" i="1"/>
  <c r="G41" i="1"/>
  <c r="E41" i="1"/>
  <c r="B41" i="1"/>
  <c r="I40" i="1"/>
  <c r="H40" i="1"/>
  <c r="G40" i="1"/>
  <c r="E40" i="1"/>
  <c r="K40" i="1" s="1"/>
  <c r="B40" i="1"/>
  <c r="I39" i="1"/>
  <c r="H39" i="1"/>
  <c r="G39" i="1"/>
  <c r="K39" i="1" s="1"/>
  <c r="E39" i="1"/>
  <c r="D39" i="1"/>
  <c r="B39" i="1"/>
  <c r="I38" i="1"/>
  <c r="H38" i="1"/>
  <c r="G38" i="1"/>
  <c r="E38" i="1"/>
  <c r="D38" i="1"/>
  <c r="C38" i="1"/>
  <c r="K38" i="1" s="1"/>
  <c r="B38" i="1"/>
  <c r="D10" i="1"/>
  <c r="K10" i="1"/>
  <c r="M10" i="1" s="1"/>
  <c r="D9" i="1"/>
  <c r="K9" i="1"/>
  <c r="M9" i="1" s="1"/>
  <c r="D8" i="1"/>
  <c r="K8" i="1"/>
  <c r="M8" i="1" s="1"/>
  <c r="D7" i="1"/>
  <c r="K7" i="1"/>
  <c r="M7" i="1" s="1"/>
  <c r="D6" i="1"/>
  <c r="K6" i="1"/>
  <c r="M6" i="1" s="1"/>
  <c r="D5" i="1"/>
  <c r="K5" i="1"/>
  <c r="M5" i="1" s="1"/>
  <c r="K4" i="1"/>
  <c r="M4" i="1"/>
  <c r="K44" i="1"/>
  <c r="K41" i="1"/>
  <c r="K65" i="1" l="1"/>
  <c r="K31" i="1"/>
</calcChain>
</file>

<file path=xl/sharedStrings.xml><?xml version="1.0" encoding="utf-8"?>
<sst xmlns="http://schemas.openxmlformats.org/spreadsheetml/2006/main" count="84" uniqueCount="49">
  <si>
    <t>SEPARACE</t>
  </si>
  <si>
    <t>SKO firmy + OÚ</t>
  </si>
  <si>
    <t>SKO občané</t>
  </si>
  <si>
    <t>SB. DVŮR</t>
  </si>
  <si>
    <t>NO</t>
  </si>
  <si>
    <t>VO</t>
  </si>
  <si>
    <t>CELKEM</t>
  </si>
  <si>
    <t>Popel</t>
  </si>
  <si>
    <t>SKLO</t>
  </si>
  <si>
    <t>stavební odp. včetně N</t>
  </si>
  <si>
    <t>objemné a ostatní odpady</t>
  </si>
  <si>
    <t>2010*</t>
  </si>
  <si>
    <t>Přísp. EKOKOM</t>
  </si>
  <si>
    <t>Náklady mínus EKOKOM</t>
  </si>
  <si>
    <t>PAPÍR</t>
  </si>
  <si>
    <t>PLASTY</t>
  </si>
  <si>
    <t>Směsný KO</t>
  </si>
  <si>
    <t>Nebezp. odp. (mimo stavební)</t>
  </si>
  <si>
    <t>Rok</t>
  </si>
  <si>
    <t>Poplatek za odpady</t>
  </si>
  <si>
    <t>Rozdíl mezi náklady a poplatkem</t>
  </si>
  <si>
    <t>-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</si>
  <si>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</si>
  <si>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</si>
  <si>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</si>
  <si>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</si>
  <si>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</si>
  <si>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</si>
  <si>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</si>
  <si>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</si>
  <si>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</si>
  <si>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</si>
  <si>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</si>
  <si>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</si>
  <si>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Olej</t>
  </si>
  <si>
    <t xml:space="preserve">Celkem </t>
  </si>
  <si>
    <t>Celkem</t>
  </si>
  <si>
    <t xml:space="preserve">Prosinec </t>
  </si>
  <si>
    <t>Celkem odpady</t>
  </si>
  <si>
    <t>Rok 2020</t>
  </si>
  <si>
    <t>ROK</t>
  </si>
  <si>
    <t>PŘÍSPĚVEK OD eko-kom</t>
  </si>
  <si>
    <t>1.Q</t>
  </si>
  <si>
    <t>2.Q</t>
  </si>
  <si>
    <t>3.Q</t>
  </si>
  <si>
    <t>4.Q</t>
  </si>
  <si>
    <t>Písečná - náklady na odpadové hospodářství v Kč vč. DPH - fakturace SMOLO CZ</t>
  </si>
  <si>
    <t>BIO odpady, firma Bojko Josef</t>
  </si>
  <si>
    <t>Písečná - množství odpadů v tunách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</si>
</sst>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horizontal="left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4" fillId="0" borderId="0" xfId="0" applyFont="1" applyBorder="1"/>
    <xf numFmtId="4" fontId="2" fillId="0" borderId="13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vertical="center"/>
    </xf>
    <xf numFmtId="4" fontId="1" fillId="2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2" fontId="2" fillId="0" borderId="11" xfId="0" applyNumberFormat="1" applyFont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22" xfId="0" applyNumberFormat="1" applyFont="1" applyFill="1" applyBorder="1" applyAlignment="1">
      <alignment horizontal="right" vertical="center"/>
    </xf>
    <xf numFmtId="4" fontId="2" fillId="3" borderId="23" xfId="0" applyNumberFormat="1" applyFont="1" applyFill="1" applyBorder="1" applyAlignment="1">
      <alignment horizontal="right" vertical="center"/>
    </xf>
    <xf numFmtId="4" fontId="2" fillId="3" borderId="24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/>
    <xf numFmtId="0" fontId="2" fillId="0" borderId="24" xfId="0" applyFont="1" applyBorder="1" applyAlignme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workbookViewId="0">
      <selection activeCell="B35" sqref="B35"/>
    </sheetView>
  </sheetViews>
  <sheetFormatPr defaultColWidth="8.625" defaultRowHeight="15" x14ac:dyDescent="0.25"/>
  <cols>
    <col min="1" max="1" width="11.25" style="2" customWidth="1"/>
    <col min="2" max="10" width="13.25" style="2" customWidth="1"/>
    <col min="11" max="12" width="13.25" style="3" customWidth="1"/>
    <col min="13" max="13" width="12.75" style="4" customWidth="1"/>
    <col min="14" max="14" width="10" style="4" customWidth="1"/>
    <col min="15" max="15" width="11.25" style="9" customWidth="1"/>
    <col min="16" max="16384" width="8.625" style="2"/>
  </cols>
  <sheetData>
    <row r="1" spans="1:17" ht="18" customHeight="1" x14ac:dyDescent="0.25">
      <c r="A1" s="142" t="s">
        <v>46</v>
      </c>
    </row>
    <row r="2" spans="1:17" ht="18" customHeight="1" thickBot="1" x14ac:dyDescent="0.3"/>
    <row r="3" spans="1:17" ht="48" customHeight="1" thickBot="1" x14ac:dyDescent="0.3">
      <c r="A3" s="113" t="s">
        <v>40</v>
      </c>
      <c r="B3" s="81" t="s">
        <v>0</v>
      </c>
      <c r="C3" s="71" t="s">
        <v>1</v>
      </c>
      <c r="D3" s="72" t="s">
        <v>2</v>
      </c>
      <c r="E3" s="72" t="s">
        <v>7</v>
      </c>
      <c r="F3" s="71" t="s">
        <v>3</v>
      </c>
      <c r="G3" s="71" t="s">
        <v>4</v>
      </c>
      <c r="H3" s="71" t="s">
        <v>5</v>
      </c>
      <c r="I3" s="59" t="s">
        <v>47</v>
      </c>
      <c r="J3" s="73" t="s">
        <v>34</v>
      </c>
      <c r="K3" s="117" t="s">
        <v>6</v>
      </c>
      <c r="L3" s="98" t="s">
        <v>12</v>
      </c>
      <c r="M3" s="99" t="s">
        <v>13</v>
      </c>
      <c r="N3" s="99" t="s">
        <v>19</v>
      </c>
      <c r="O3" s="100" t="s">
        <v>20</v>
      </c>
    </row>
    <row r="4" spans="1:17" s="5" customFormat="1" ht="20.100000000000001" customHeight="1" x14ac:dyDescent="0.25">
      <c r="A4" s="114">
        <v>2009</v>
      </c>
      <c r="B4" s="112">
        <v>71664.28</v>
      </c>
      <c r="C4" s="63">
        <v>8795.56</v>
      </c>
      <c r="D4" s="64">
        <v>325304.88</v>
      </c>
      <c r="E4" s="64">
        <v>0</v>
      </c>
      <c r="F4" s="63">
        <v>17273.84</v>
      </c>
      <c r="G4" s="63">
        <v>6566.61</v>
      </c>
      <c r="H4" s="63">
        <v>48487.15</v>
      </c>
      <c r="I4" s="63">
        <v>0</v>
      </c>
      <c r="J4" s="116">
        <v>0</v>
      </c>
      <c r="K4" s="118">
        <f t="shared" ref="K4:K10" si="0">B4+C4+D4+F4+G4+H4+I4</f>
        <v>478092.32</v>
      </c>
      <c r="L4" s="107">
        <v>-50000</v>
      </c>
      <c r="M4" s="108">
        <f t="shared" ref="M4:M12" si="1">K4+L4</f>
        <v>428092.32</v>
      </c>
      <c r="N4" s="63">
        <v>309835</v>
      </c>
      <c r="O4" s="109">
        <f>M4-N4</f>
        <v>118257.32</v>
      </c>
    </row>
    <row r="5" spans="1:17" s="5" customFormat="1" ht="20.100000000000001" customHeight="1" x14ac:dyDescent="0.25">
      <c r="A5" s="97">
        <v>2010</v>
      </c>
      <c r="B5" s="83">
        <v>78430.61</v>
      </c>
      <c r="C5" s="6">
        <v>9734.25</v>
      </c>
      <c r="D5" s="8">
        <f>277403.54-E5</f>
        <v>275197.21999999997</v>
      </c>
      <c r="E5" s="8">
        <v>2206.3200000000002</v>
      </c>
      <c r="F5" s="6">
        <v>16985.650000000001</v>
      </c>
      <c r="G5" s="6">
        <v>5019.87</v>
      </c>
      <c r="H5" s="6">
        <v>46495.6</v>
      </c>
      <c r="I5" s="6">
        <v>0</v>
      </c>
      <c r="J5" s="40">
        <v>0</v>
      </c>
      <c r="K5" s="119">
        <f t="shared" si="0"/>
        <v>431863.19999999995</v>
      </c>
      <c r="L5" s="7">
        <v>-50000</v>
      </c>
      <c r="M5" s="43">
        <f t="shared" si="1"/>
        <v>381863.19999999995</v>
      </c>
      <c r="N5" s="6">
        <v>317950</v>
      </c>
      <c r="O5" s="110">
        <f>M5-N5</f>
        <v>63913.199999999953</v>
      </c>
    </row>
    <row r="6" spans="1:17" s="5" customFormat="1" ht="20.100000000000001" customHeight="1" x14ac:dyDescent="0.25">
      <c r="A6" s="97">
        <v>2011</v>
      </c>
      <c r="B6" s="83">
        <v>72864.509999999995</v>
      </c>
      <c r="C6" s="6">
        <v>9266.93</v>
      </c>
      <c r="D6" s="8">
        <f>320156.956-E6</f>
        <v>304992.37599999999</v>
      </c>
      <c r="E6" s="8">
        <v>15164.58</v>
      </c>
      <c r="F6" s="6">
        <v>34265.870000000003</v>
      </c>
      <c r="G6" s="6">
        <v>13902.03</v>
      </c>
      <c r="H6" s="6">
        <v>56934.21</v>
      </c>
      <c r="I6" s="6">
        <v>0</v>
      </c>
      <c r="J6" s="40">
        <v>0</v>
      </c>
      <c r="K6" s="119">
        <f t="shared" si="0"/>
        <v>492225.92600000004</v>
      </c>
      <c r="L6" s="7">
        <v>-50000</v>
      </c>
      <c r="M6" s="43">
        <f t="shared" si="1"/>
        <v>442225.92600000004</v>
      </c>
      <c r="N6" s="6">
        <v>325265</v>
      </c>
      <c r="O6" s="110">
        <f t="shared" ref="O6:O15" si="2">M6-N6</f>
        <v>116960.92600000004</v>
      </c>
    </row>
    <row r="7" spans="1:17" s="5" customFormat="1" ht="20.100000000000001" customHeight="1" x14ac:dyDescent="0.25">
      <c r="A7" s="97">
        <v>2012</v>
      </c>
      <c r="B7" s="83">
        <v>77353.77</v>
      </c>
      <c r="C7" s="6">
        <v>9205.5</v>
      </c>
      <c r="D7" s="8">
        <f>347932.41-E7</f>
        <v>330573.93</v>
      </c>
      <c r="E7" s="8">
        <v>17358.48</v>
      </c>
      <c r="F7" s="6">
        <v>45150.33</v>
      </c>
      <c r="G7" s="6">
        <v>13584.31</v>
      </c>
      <c r="H7" s="6">
        <v>46415.92</v>
      </c>
      <c r="I7" s="6">
        <v>0</v>
      </c>
      <c r="J7" s="40">
        <v>0</v>
      </c>
      <c r="K7" s="119">
        <f t="shared" si="0"/>
        <v>522283.76</v>
      </c>
      <c r="L7" s="7">
        <v>-59000</v>
      </c>
      <c r="M7" s="43">
        <f t="shared" si="1"/>
        <v>463283.76</v>
      </c>
      <c r="N7" s="6">
        <v>334542</v>
      </c>
      <c r="O7" s="110">
        <f t="shared" si="2"/>
        <v>128741.76000000001</v>
      </c>
    </row>
    <row r="8" spans="1:17" s="5" customFormat="1" ht="20.100000000000001" customHeight="1" x14ac:dyDescent="0.25">
      <c r="A8" s="97">
        <v>2013</v>
      </c>
      <c r="B8" s="83">
        <v>88225.72</v>
      </c>
      <c r="C8" s="6">
        <v>8068.2800000000007</v>
      </c>
      <c r="D8" s="8">
        <f>324312.39-E8</f>
        <v>302610.77</v>
      </c>
      <c r="E8" s="8">
        <v>21701.62</v>
      </c>
      <c r="F8" s="6">
        <v>54770.069999999992</v>
      </c>
      <c r="G8" s="6">
        <v>8317.82</v>
      </c>
      <c r="H8" s="6">
        <v>35962</v>
      </c>
      <c r="I8" s="6">
        <v>0</v>
      </c>
      <c r="J8" s="40">
        <v>0</v>
      </c>
      <c r="K8" s="119">
        <f t="shared" si="0"/>
        <v>497954.66000000003</v>
      </c>
      <c r="L8" s="7">
        <v>-63975</v>
      </c>
      <c r="M8" s="43">
        <f t="shared" si="1"/>
        <v>433979.66000000003</v>
      </c>
      <c r="N8" s="6">
        <v>347815</v>
      </c>
      <c r="O8" s="110">
        <f t="shared" si="2"/>
        <v>86164.660000000033</v>
      </c>
    </row>
    <row r="9" spans="1:17" s="5" customFormat="1" ht="20.100000000000001" customHeight="1" x14ac:dyDescent="0.25">
      <c r="A9" s="97">
        <v>2014</v>
      </c>
      <c r="B9" s="83">
        <v>92585.75</v>
      </c>
      <c r="C9" s="6">
        <v>7737.58</v>
      </c>
      <c r="D9" s="8">
        <f>312792.86-E9</f>
        <v>290019.23</v>
      </c>
      <c r="E9" s="8">
        <v>22773.63</v>
      </c>
      <c r="F9" s="6">
        <v>46633.35</v>
      </c>
      <c r="G9" s="6">
        <v>16074.39</v>
      </c>
      <c r="H9" s="6">
        <v>47043</v>
      </c>
      <c r="I9" s="6">
        <v>5824.75</v>
      </c>
      <c r="J9" s="40">
        <v>0</v>
      </c>
      <c r="K9" s="119">
        <f t="shared" si="0"/>
        <v>505918.05</v>
      </c>
      <c r="L9" s="7">
        <v>-79291</v>
      </c>
      <c r="M9" s="43">
        <f t="shared" si="1"/>
        <v>426627.05</v>
      </c>
      <c r="N9" s="6">
        <v>351390</v>
      </c>
      <c r="O9" s="110">
        <f t="shared" si="2"/>
        <v>75237.049999999988</v>
      </c>
      <c r="P9" s="10"/>
      <c r="Q9" s="10"/>
    </row>
    <row r="10" spans="1:17" ht="20.100000000000001" customHeight="1" x14ac:dyDescent="0.25">
      <c r="A10" s="97">
        <v>2015</v>
      </c>
      <c r="B10" s="83">
        <v>102034.96</v>
      </c>
      <c r="C10" s="6">
        <v>8049.38</v>
      </c>
      <c r="D10" s="8">
        <f>319309.88-E10</f>
        <v>295366.62</v>
      </c>
      <c r="E10" s="8">
        <v>23943.26</v>
      </c>
      <c r="F10" s="6">
        <v>77367.14</v>
      </c>
      <c r="G10" s="6">
        <v>16370.67</v>
      </c>
      <c r="H10" s="6">
        <v>38770</v>
      </c>
      <c r="I10" s="6">
        <v>1490.4</v>
      </c>
      <c r="J10" s="40">
        <v>0</v>
      </c>
      <c r="K10" s="119">
        <f t="shared" si="0"/>
        <v>539449.17000000004</v>
      </c>
      <c r="L10" s="7">
        <v>-80283</v>
      </c>
      <c r="M10" s="43">
        <f t="shared" si="1"/>
        <v>459166.17000000004</v>
      </c>
      <c r="N10" s="6">
        <v>356250</v>
      </c>
      <c r="O10" s="110">
        <f t="shared" si="2"/>
        <v>102916.17000000004</v>
      </c>
    </row>
    <row r="11" spans="1:17" ht="20.100000000000001" customHeight="1" x14ac:dyDescent="0.25">
      <c r="A11" s="97">
        <v>2016</v>
      </c>
      <c r="B11" s="83">
        <v>107861</v>
      </c>
      <c r="C11" s="6">
        <v>10007</v>
      </c>
      <c r="D11" s="8">
        <v>322123</v>
      </c>
      <c r="E11" s="8">
        <v>26152</v>
      </c>
      <c r="F11" s="6">
        <v>87473</v>
      </c>
      <c r="G11" s="6">
        <v>10967</v>
      </c>
      <c r="H11" s="6">
        <v>45012</v>
      </c>
      <c r="I11" s="6" t="s">
        <v>21</v>
      </c>
      <c r="J11" s="40">
        <v>0</v>
      </c>
      <c r="K11" s="119">
        <f>SUM(B11:I11)</f>
        <v>609595</v>
      </c>
      <c r="L11" s="7">
        <v>-96583.5</v>
      </c>
      <c r="M11" s="43">
        <f t="shared" si="1"/>
        <v>513011.5</v>
      </c>
      <c r="N11" s="6">
        <v>355635</v>
      </c>
      <c r="O11" s="110">
        <f t="shared" si="2"/>
        <v>157376.5</v>
      </c>
    </row>
    <row r="12" spans="1:17" ht="20.100000000000001" customHeight="1" x14ac:dyDescent="0.25">
      <c r="A12" s="97">
        <v>2017</v>
      </c>
      <c r="B12" s="83">
        <v>127378</v>
      </c>
      <c r="C12" s="6">
        <v>8412</v>
      </c>
      <c r="D12" s="8">
        <v>318900</v>
      </c>
      <c r="E12" s="8">
        <v>24398</v>
      </c>
      <c r="F12" s="6">
        <v>101829</v>
      </c>
      <c r="G12" s="6">
        <v>7594</v>
      </c>
      <c r="H12" s="6">
        <v>45927</v>
      </c>
      <c r="I12" s="6">
        <v>7986</v>
      </c>
      <c r="J12" s="40">
        <v>0</v>
      </c>
      <c r="K12" s="119">
        <f>SUM(A12:J12)</f>
        <v>644441</v>
      </c>
      <c r="L12" s="7">
        <v>-119481.5</v>
      </c>
      <c r="M12" s="43">
        <f t="shared" si="1"/>
        <v>524959.5</v>
      </c>
      <c r="N12" s="6">
        <v>362910</v>
      </c>
      <c r="O12" s="110">
        <f t="shared" si="2"/>
        <v>162049.5</v>
      </c>
    </row>
    <row r="13" spans="1:17" s="1" customFormat="1" ht="20.100000000000001" customHeight="1" x14ac:dyDescent="0.25">
      <c r="A13" s="97">
        <v>2018</v>
      </c>
      <c r="B13" s="83">
        <v>157895</v>
      </c>
      <c r="C13" s="6">
        <v>8134</v>
      </c>
      <c r="D13" s="8">
        <v>287181</v>
      </c>
      <c r="E13" s="8">
        <v>27647</v>
      </c>
      <c r="F13" s="6">
        <v>69142</v>
      </c>
      <c r="G13" s="6">
        <v>9328</v>
      </c>
      <c r="H13" s="6">
        <v>45899</v>
      </c>
      <c r="I13" s="6">
        <v>26741</v>
      </c>
      <c r="J13" s="40">
        <v>605</v>
      </c>
      <c r="K13" s="119">
        <f>SUM(B13:J13)</f>
        <v>632572</v>
      </c>
      <c r="L13" s="7">
        <v>-118185.5</v>
      </c>
      <c r="M13" s="43">
        <f>SUM(K13:L13)</f>
        <v>514386.5</v>
      </c>
      <c r="N13" s="6">
        <v>360030</v>
      </c>
      <c r="O13" s="110">
        <f t="shared" si="2"/>
        <v>154356.5</v>
      </c>
    </row>
    <row r="14" spans="1:17" s="1" customFormat="1" ht="20.100000000000001" customHeight="1" x14ac:dyDescent="0.25">
      <c r="A14" s="115">
        <v>2019</v>
      </c>
      <c r="B14" s="84">
        <v>185898.08</v>
      </c>
      <c r="C14" s="28">
        <v>8308.7099999999991</v>
      </c>
      <c r="D14" s="123">
        <v>283800.40000000002</v>
      </c>
      <c r="E14" s="123">
        <v>20336</v>
      </c>
      <c r="F14" s="28">
        <v>114791.78</v>
      </c>
      <c r="G14" s="28">
        <v>14016.77</v>
      </c>
      <c r="H14" s="28">
        <v>45252</v>
      </c>
      <c r="I14" s="28">
        <v>26075.5</v>
      </c>
      <c r="J14" s="42">
        <v>605</v>
      </c>
      <c r="K14" s="120">
        <f>SUM(B14:J14)</f>
        <v>699084.24</v>
      </c>
      <c r="L14" s="29">
        <v>-124252</v>
      </c>
      <c r="M14" s="44">
        <f>SUM(K14:L14)</f>
        <v>574832.24</v>
      </c>
      <c r="N14" s="28">
        <v>449558</v>
      </c>
      <c r="O14" s="110">
        <f t="shared" si="2"/>
        <v>125274.23999999999</v>
      </c>
    </row>
    <row r="15" spans="1:17" s="1" customFormat="1" ht="20.100000000000001" customHeight="1" thickBot="1" x14ac:dyDescent="0.3">
      <c r="A15" s="133">
        <v>2020</v>
      </c>
      <c r="B15" s="134">
        <v>270006.98</v>
      </c>
      <c r="C15" s="135">
        <v>7038.6</v>
      </c>
      <c r="D15" s="136">
        <v>303073.52</v>
      </c>
      <c r="E15" s="136">
        <v>0</v>
      </c>
      <c r="F15" s="135">
        <v>83004.38</v>
      </c>
      <c r="G15" s="135">
        <v>11971.31</v>
      </c>
      <c r="H15" s="135">
        <v>50801.13</v>
      </c>
      <c r="I15" s="135">
        <v>36784</v>
      </c>
      <c r="J15" s="137">
        <v>605</v>
      </c>
      <c r="K15" s="138">
        <f>SUM(B15:J15)</f>
        <v>763284.92</v>
      </c>
      <c r="L15" s="139">
        <v>-142350</v>
      </c>
      <c r="M15" s="51">
        <f>SUM(K15:L15)</f>
        <v>620934.92000000004</v>
      </c>
      <c r="N15" s="48">
        <v>424193</v>
      </c>
      <c r="O15" s="111">
        <f t="shared" si="2"/>
        <v>196741.92000000004</v>
      </c>
      <c r="P15" s="41"/>
      <c r="Q15" s="41"/>
    </row>
    <row r="16" spans="1:17" s="1" customFormat="1" ht="20.100000000000001" customHeight="1" x14ac:dyDescent="0.25">
      <c r="A16" s="101"/>
      <c r="B16" s="102"/>
      <c r="C16" s="102"/>
      <c r="D16" s="125"/>
      <c r="E16" s="125"/>
      <c r="F16" s="102"/>
      <c r="G16" s="102"/>
      <c r="H16" s="102"/>
      <c r="I16" s="102"/>
      <c r="J16" s="102"/>
      <c r="K16" s="102"/>
      <c r="L16" s="103"/>
      <c r="M16" s="104"/>
      <c r="N16" s="105"/>
      <c r="O16" s="106"/>
    </row>
    <row r="17" spans="1:15" s="1" customFormat="1" ht="18" customHeight="1" thickBot="1" x14ac:dyDescent="0.3">
      <c r="A17" s="2"/>
      <c r="B17" s="16"/>
      <c r="C17" s="16"/>
      <c r="D17" s="17"/>
      <c r="E17" s="17"/>
      <c r="F17" s="16"/>
      <c r="G17" s="16"/>
      <c r="H17" s="16"/>
      <c r="I17" s="16"/>
      <c r="J17" s="16"/>
      <c r="K17" s="17"/>
      <c r="L17" s="17"/>
      <c r="M17" s="121"/>
      <c r="N17" s="122"/>
      <c r="O17" s="20"/>
    </row>
    <row r="18" spans="1:15" s="1" customFormat="1" ht="41.25" customHeight="1" thickBot="1" x14ac:dyDescent="0.3">
      <c r="A18" s="140" t="s">
        <v>39</v>
      </c>
      <c r="B18" s="81" t="s">
        <v>0</v>
      </c>
      <c r="C18" s="71" t="s">
        <v>1</v>
      </c>
      <c r="D18" s="72" t="s">
        <v>2</v>
      </c>
      <c r="E18" s="72" t="s">
        <v>7</v>
      </c>
      <c r="F18" s="71" t="s">
        <v>3</v>
      </c>
      <c r="G18" s="71" t="s">
        <v>4</v>
      </c>
      <c r="H18" s="71" t="s">
        <v>5</v>
      </c>
      <c r="I18" s="59" t="s">
        <v>47</v>
      </c>
      <c r="J18" s="73" t="s">
        <v>34</v>
      </c>
      <c r="K18" s="76" t="s">
        <v>38</v>
      </c>
      <c r="L18" s="30"/>
      <c r="M18" s="31"/>
      <c r="N18" s="31"/>
      <c r="O18" s="32"/>
    </row>
    <row r="19" spans="1:15" s="1" customFormat="1" ht="20.100000000000001" customHeight="1" x14ac:dyDescent="0.25">
      <c r="A19" s="86" t="s">
        <v>22</v>
      </c>
      <c r="B19" s="6">
        <v>23931.86</v>
      </c>
      <c r="C19" s="6">
        <v>840.83</v>
      </c>
      <c r="D19" s="8">
        <v>35614.339999999997</v>
      </c>
      <c r="E19" s="8">
        <v>0</v>
      </c>
      <c r="F19" s="6">
        <v>3399.16</v>
      </c>
      <c r="G19" s="6">
        <v>0</v>
      </c>
      <c r="H19" s="6">
        <v>0</v>
      </c>
      <c r="I19" s="6">
        <v>0</v>
      </c>
      <c r="J19" s="40">
        <v>0</v>
      </c>
      <c r="K19" s="77">
        <f t="shared" ref="K19:K31" si="3">SUM(B19:J19)</f>
        <v>63786.19</v>
      </c>
      <c r="L19" s="36"/>
      <c r="M19" s="33"/>
      <c r="N19" s="34"/>
      <c r="O19" s="35"/>
    </row>
    <row r="20" spans="1:15" s="1" customFormat="1" ht="20.100000000000001" customHeight="1" x14ac:dyDescent="0.25">
      <c r="A20" s="87" t="s">
        <v>23</v>
      </c>
      <c r="B20" s="6">
        <v>25590.82</v>
      </c>
      <c r="C20" s="6">
        <v>647.16999999999996</v>
      </c>
      <c r="D20" s="8">
        <v>23778.53</v>
      </c>
      <c r="E20" s="8">
        <v>0</v>
      </c>
      <c r="F20" s="6">
        <v>5717.61</v>
      </c>
      <c r="G20" s="6">
        <v>0</v>
      </c>
      <c r="H20" s="6">
        <v>0</v>
      </c>
      <c r="I20" s="6">
        <v>0</v>
      </c>
      <c r="J20" s="40">
        <v>0</v>
      </c>
      <c r="K20" s="78">
        <f t="shared" si="3"/>
        <v>55734.13</v>
      </c>
      <c r="L20" s="17"/>
      <c r="M20" s="33"/>
      <c r="N20" s="34"/>
      <c r="O20" s="35"/>
    </row>
    <row r="21" spans="1:15" s="1" customFormat="1" ht="20.100000000000001" customHeight="1" x14ac:dyDescent="0.25">
      <c r="A21" s="87" t="s">
        <v>24</v>
      </c>
      <c r="B21" s="6">
        <v>19081.87</v>
      </c>
      <c r="C21" s="6">
        <v>699.14</v>
      </c>
      <c r="D21" s="8">
        <v>25660.77</v>
      </c>
      <c r="E21" s="8">
        <v>0</v>
      </c>
      <c r="F21" s="6">
        <v>5076.71</v>
      </c>
      <c r="G21" s="6">
        <v>0</v>
      </c>
      <c r="H21" s="6">
        <v>0</v>
      </c>
      <c r="I21" s="6">
        <v>0</v>
      </c>
      <c r="J21" s="40">
        <v>0</v>
      </c>
      <c r="K21" s="78">
        <f t="shared" si="3"/>
        <v>50518.49</v>
      </c>
      <c r="L21" s="17"/>
      <c r="M21" s="33" t="s">
        <v>41</v>
      </c>
      <c r="N21" s="34"/>
      <c r="O21" s="35"/>
    </row>
    <row r="22" spans="1:15" s="1" customFormat="1" ht="20.100000000000001" customHeight="1" x14ac:dyDescent="0.25">
      <c r="A22" s="87" t="s">
        <v>25</v>
      </c>
      <c r="B22" s="6">
        <v>22392.31</v>
      </c>
      <c r="C22" s="6">
        <v>401.54</v>
      </c>
      <c r="D22" s="8">
        <v>22167</v>
      </c>
      <c r="E22" s="8">
        <v>0</v>
      </c>
      <c r="F22" s="6">
        <v>15549.01</v>
      </c>
      <c r="G22" s="6">
        <v>0</v>
      </c>
      <c r="H22" s="6">
        <v>0</v>
      </c>
      <c r="I22" s="6">
        <v>6534</v>
      </c>
      <c r="J22" s="40">
        <v>0</v>
      </c>
      <c r="K22" s="78">
        <f t="shared" si="3"/>
        <v>67043.860000000015</v>
      </c>
      <c r="L22" s="17"/>
      <c r="M22" s="33"/>
      <c r="N22" s="34"/>
      <c r="O22" s="35"/>
    </row>
    <row r="23" spans="1:15" s="1" customFormat="1" ht="20.100000000000001" customHeight="1" x14ac:dyDescent="0.25">
      <c r="A23" s="87" t="s">
        <v>26</v>
      </c>
      <c r="B23" s="6">
        <v>21380.29</v>
      </c>
      <c r="C23" s="6">
        <v>524.36</v>
      </c>
      <c r="D23" s="8">
        <v>27818.15</v>
      </c>
      <c r="E23" s="8">
        <v>0</v>
      </c>
      <c r="F23" s="6">
        <v>7507.48</v>
      </c>
      <c r="G23" s="6">
        <v>7646.37</v>
      </c>
      <c r="H23" s="6">
        <v>50801.13</v>
      </c>
      <c r="I23" s="6">
        <v>0</v>
      </c>
      <c r="J23" s="40">
        <v>0</v>
      </c>
      <c r="K23" s="78">
        <f t="shared" si="3"/>
        <v>115677.78</v>
      </c>
      <c r="L23" s="17" t="s">
        <v>45</v>
      </c>
      <c r="M23" s="33">
        <v>36896.5</v>
      </c>
      <c r="N23" s="34"/>
      <c r="O23" s="35"/>
    </row>
    <row r="24" spans="1:15" s="1" customFormat="1" ht="20.100000000000001" customHeight="1" x14ac:dyDescent="0.25">
      <c r="A24" s="87" t="s">
        <v>27</v>
      </c>
      <c r="B24" s="6">
        <v>19096.55</v>
      </c>
      <c r="C24" s="6">
        <v>647.16999999999996</v>
      </c>
      <c r="D24" s="8">
        <v>22060.15</v>
      </c>
      <c r="E24" s="8">
        <v>0</v>
      </c>
      <c r="F24" s="6">
        <v>4515.8100000000004</v>
      </c>
      <c r="G24" s="6">
        <v>0</v>
      </c>
      <c r="H24" s="6">
        <v>0</v>
      </c>
      <c r="I24" s="6">
        <v>0</v>
      </c>
      <c r="J24" s="40">
        <v>0</v>
      </c>
      <c r="K24" s="78">
        <f t="shared" si="3"/>
        <v>46319.679999999993</v>
      </c>
      <c r="L24" s="17" t="s">
        <v>42</v>
      </c>
      <c r="M24" s="33">
        <v>32084</v>
      </c>
      <c r="N24" s="34"/>
      <c r="O24" s="35"/>
    </row>
    <row r="25" spans="1:15" s="1" customFormat="1" ht="20.100000000000001" customHeight="1" x14ac:dyDescent="0.25">
      <c r="A25" s="88" t="s">
        <v>28</v>
      </c>
      <c r="B25" s="83">
        <v>19884.349999999999</v>
      </c>
      <c r="C25" s="6">
        <v>760.55</v>
      </c>
      <c r="D25" s="8">
        <v>32649.3</v>
      </c>
      <c r="E25" s="8">
        <v>0</v>
      </c>
      <c r="F25" s="6">
        <v>8813.4699999999993</v>
      </c>
      <c r="G25" s="6">
        <v>0</v>
      </c>
      <c r="H25" s="6">
        <v>0</v>
      </c>
      <c r="I25" s="6">
        <v>18150</v>
      </c>
      <c r="J25" s="40">
        <v>0</v>
      </c>
      <c r="K25" s="78">
        <f t="shared" si="3"/>
        <v>80257.67</v>
      </c>
      <c r="L25" s="17" t="s">
        <v>43</v>
      </c>
      <c r="M25" s="33">
        <v>35058</v>
      </c>
      <c r="N25" s="34"/>
      <c r="O25" s="35"/>
    </row>
    <row r="26" spans="1:15" s="1" customFormat="1" ht="20.100000000000001" customHeight="1" x14ac:dyDescent="0.25">
      <c r="A26" s="88" t="s">
        <v>29</v>
      </c>
      <c r="B26" s="83">
        <v>18253.28</v>
      </c>
      <c r="C26" s="6">
        <v>401.54</v>
      </c>
      <c r="D26" s="8">
        <v>19534.59</v>
      </c>
      <c r="E26" s="8">
        <v>0</v>
      </c>
      <c r="F26" s="6">
        <v>8777.35</v>
      </c>
      <c r="G26" s="6">
        <v>0</v>
      </c>
      <c r="H26" s="6">
        <v>0</v>
      </c>
      <c r="I26" s="6">
        <v>0</v>
      </c>
      <c r="J26" s="40">
        <v>0</v>
      </c>
      <c r="K26" s="78">
        <f t="shared" si="3"/>
        <v>46966.76</v>
      </c>
      <c r="L26" s="17" t="s">
        <v>44</v>
      </c>
      <c r="M26" s="33">
        <v>38311.5</v>
      </c>
      <c r="N26" s="34"/>
      <c r="O26" s="35"/>
    </row>
    <row r="27" spans="1:15" s="1" customFormat="1" ht="20.100000000000001" customHeight="1" x14ac:dyDescent="0.25">
      <c r="A27" s="88" t="s">
        <v>30</v>
      </c>
      <c r="B27" s="83">
        <v>32072.49</v>
      </c>
      <c r="C27" s="6">
        <v>595.20000000000005</v>
      </c>
      <c r="D27" s="8">
        <v>20314.12</v>
      </c>
      <c r="E27" s="8">
        <v>0</v>
      </c>
      <c r="F27" s="6">
        <v>7044.69</v>
      </c>
      <c r="G27" s="6">
        <v>4324.9399999999996</v>
      </c>
      <c r="H27" s="6">
        <v>0</v>
      </c>
      <c r="I27" s="6">
        <v>0</v>
      </c>
      <c r="J27" s="40">
        <v>0</v>
      </c>
      <c r="K27" s="78">
        <f t="shared" si="3"/>
        <v>64351.44</v>
      </c>
      <c r="L27" s="17"/>
      <c r="M27" s="33"/>
      <c r="N27" s="34"/>
      <c r="O27" s="35"/>
    </row>
    <row r="28" spans="1:15" s="1" customFormat="1" ht="20.100000000000001" customHeight="1" x14ac:dyDescent="0.25">
      <c r="A28" s="88" t="s">
        <v>31</v>
      </c>
      <c r="B28" s="83">
        <v>25480.080000000002</v>
      </c>
      <c r="C28" s="6">
        <v>401.54</v>
      </c>
      <c r="D28" s="8">
        <v>20398.849999999999</v>
      </c>
      <c r="E28" s="8">
        <v>0</v>
      </c>
      <c r="F28" s="6">
        <v>6316.43</v>
      </c>
      <c r="G28" s="6">
        <v>0</v>
      </c>
      <c r="H28" s="6">
        <v>0</v>
      </c>
      <c r="I28" s="6">
        <v>0</v>
      </c>
      <c r="J28" s="40">
        <v>0</v>
      </c>
      <c r="K28" s="78">
        <f t="shared" si="3"/>
        <v>52596.9</v>
      </c>
      <c r="L28" s="17"/>
      <c r="M28" s="33"/>
      <c r="N28" s="34"/>
      <c r="O28" s="35"/>
    </row>
    <row r="29" spans="1:15" s="1" customFormat="1" ht="20.100000000000001" customHeight="1" x14ac:dyDescent="0.25">
      <c r="A29" s="88" t="s">
        <v>32</v>
      </c>
      <c r="B29" s="83">
        <v>19417.07</v>
      </c>
      <c r="C29" s="6">
        <v>524.36</v>
      </c>
      <c r="D29" s="8">
        <v>26367.43</v>
      </c>
      <c r="E29" s="8">
        <v>0</v>
      </c>
      <c r="F29" s="6">
        <v>7516.61</v>
      </c>
      <c r="G29" s="6">
        <v>0</v>
      </c>
      <c r="H29" s="6">
        <v>0</v>
      </c>
      <c r="I29" s="6">
        <v>12100</v>
      </c>
      <c r="J29" s="40">
        <v>0</v>
      </c>
      <c r="K29" s="78">
        <f t="shared" si="3"/>
        <v>65925.47</v>
      </c>
      <c r="L29" s="17"/>
      <c r="M29" s="18"/>
      <c r="N29" s="19"/>
      <c r="O29" s="20"/>
    </row>
    <row r="30" spans="1:15" s="1" customFormat="1" ht="20.100000000000001" customHeight="1" thickBot="1" x14ac:dyDescent="0.3">
      <c r="A30" s="89" t="s">
        <v>37</v>
      </c>
      <c r="B30" s="84">
        <v>23426.01</v>
      </c>
      <c r="C30" s="28">
        <v>595.20000000000005</v>
      </c>
      <c r="D30" s="123">
        <v>26710.29</v>
      </c>
      <c r="E30" s="123">
        <v>0</v>
      </c>
      <c r="F30" s="28">
        <v>2770.05</v>
      </c>
      <c r="G30" s="28">
        <v>0</v>
      </c>
      <c r="H30" s="28">
        <v>0</v>
      </c>
      <c r="I30" s="28">
        <v>0</v>
      </c>
      <c r="J30" s="42">
        <v>605</v>
      </c>
      <c r="K30" s="79">
        <f t="shared" si="3"/>
        <v>54106.55</v>
      </c>
      <c r="L30" s="17"/>
      <c r="M30" s="18"/>
      <c r="N30" s="19"/>
      <c r="O30" s="20"/>
    </row>
    <row r="31" spans="1:15" s="1" customFormat="1" ht="20.100000000000001" customHeight="1" thickBot="1" x14ac:dyDescent="0.3">
      <c r="A31" s="90" t="s">
        <v>35</v>
      </c>
      <c r="B31" s="85">
        <f>SUM(B19:B30)</f>
        <v>270006.98</v>
      </c>
      <c r="C31" s="74">
        <f t="shared" ref="C31:J31" si="4">SUM(C19:C30)</f>
        <v>7038.5999999999995</v>
      </c>
      <c r="D31" s="124">
        <f t="shared" si="4"/>
        <v>303073.51999999996</v>
      </c>
      <c r="E31" s="124">
        <f t="shared" si="4"/>
        <v>0</v>
      </c>
      <c r="F31" s="74">
        <f t="shared" si="4"/>
        <v>83004.38</v>
      </c>
      <c r="G31" s="74">
        <f t="shared" si="4"/>
        <v>11971.31</v>
      </c>
      <c r="H31" s="74">
        <f t="shared" si="4"/>
        <v>50801.13</v>
      </c>
      <c r="I31" s="74">
        <f t="shared" si="4"/>
        <v>36784</v>
      </c>
      <c r="J31" s="75">
        <f t="shared" si="4"/>
        <v>605</v>
      </c>
      <c r="K31" s="80">
        <f t="shared" si="3"/>
        <v>763284.91999999993</v>
      </c>
      <c r="L31" s="17"/>
      <c r="M31" s="18"/>
      <c r="N31" s="19"/>
      <c r="O31" s="20"/>
    </row>
    <row r="32" spans="1:15" s="1" customFormat="1" ht="18" customHeight="1" x14ac:dyDescent="0.25">
      <c r="A32" s="2"/>
      <c r="B32" s="16"/>
      <c r="C32" s="16"/>
      <c r="D32" s="17"/>
      <c r="E32" s="17"/>
      <c r="F32" s="16"/>
      <c r="G32" s="16"/>
      <c r="H32" s="16"/>
      <c r="I32" s="16"/>
      <c r="J32" s="16"/>
      <c r="K32" s="17"/>
      <c r="L32" s="17"/>
      <c r="M32" s="18"/>
      <c r="N32" s="19"/>
      <c r="O32" s="20"/>
    </row>
    <row r="33" spans="1:15" s="1" customFormat="1" ht="18" customHeight="1" x14ac:dyDescent="0.25">
      <c r="A33" s="2"/>
      <c r="B33" s="16"/>
      <c r="C33" s="16"/>
      <c r="D33" s="17"/>
      <c r="E33" s="17"/>
      <c r="F33" s="16"/>
      <c r="G33" s="16"/>
      <c r="H33" s="16"/>
      <c r="I33" s="16"/>
      <c r="J33" s="16"/>
      <c r="K33" s="17"/>
      <c r="L33" s="17"/>
      <c r="M33" s="18"/>
      <c r="N33" s="19"/>
      <c r="O33" s="20"/>
    </row>
    <row r="34" spans="1:15" ht="18.75" customHeight="1" x14ac:dyDescent="0.25">
      <c r="D34" s="15"/>
    </row>
    <row r="35" spans="1:15" ht="15.75" x14ac:dyDescent="0.25">
      <c r="A35" s="142" t="s">
        <v>48</v>
      </c>
      <c r="K35" s="2"/>
    </row>
    <row r="36" spans="1:15" ht="15.75" thickBot="1" x14ac:dyDescent="0.3">
      <c r="B36" s="141" t="s">
        <v>0</v>
      </c>
      <c r="C36" s="141"/>
      <c r="D36" s="141"/>
      <c r="K36" s="2"/>
    </row>
    <row r="37" spans="1:15" ht="33" customHeight="1" thickBot="1" x14ac:dyDescent="0.3">
      <c r="A37" s="95" t="s">
        <v>18</v>
      </c>
      <c r="B37" s="94" t="s">
        <v>14</v>
      </c>
      <c r="C37" s="59" t="s">
        <v>15</v>
      </c>
      <c r="D37" s="59" t="s">
        <v>8</v>
      </c>
      <c r="E37" s="60" t="s">
        <v>16</v>
      </c>
      <c r="F37" s="60" t="s">
        <v>7</v>
      </c>
      <c r="G37" s="59" t="s">
        <v>17</v>
      </c>
      <c r="H37" s="59" t="s">
        <v>10</v>
      </c>
      <c r="I37" s="59" t="s">
        <v>9</v>
      </c>
      <c r="J37" s="59" t="s">
        <v>47</v>
      </c>
      <c r="K37" s="91" t="s">
        <v>6</v>
      </c>
      <c r="L37" s="2"/>
    </row>
    <row r="38" spans="1:15" ht="20.100000000000001" customHeight="1" x14ac:dyDescent="0.25">
      <c r="A38" s="96">
        <v>2009</v>
      </c>
      <c r="B38" s="82">
        <f>3.382</f>
        <v>3.3820000000000001</v>
      </c>
      <c r="C38" s="56">
        <f>7.254</f>
        <v>7.2539999999999996</v>
      </c>
      <c r="D38" s="56">
        <f>8.208</f>
        <v>8.2080000000000002</v>
      </c>
      <c r="E38" s="57">
        <f>130.261+1.206+0.603+0.603+0.603</f>
        <v>133.27600000000001</v>
      </c>
      <c r="F38" s="57">
        <v>0</v>
      </c>
      <c r="G38" s="56">
        <f>0.06+0.01+0.033+0.001+0.09+0.21+0.3+0.25+0.3</f>
        <v>1.254</v>
      </c>
      <c r="H38" s="56">
        <f>0.025+20.46+1.2</f>
        <v>21.684999999999999</v>
      </c>
      <c r="I38" s="56">
        <f>0.65+2.15</f>
        <v>2.8</v>
      </c>
      <c r="J38" s="70">
        <v>0</v>
      </c>
      <c r="K38" s="92">
        <f t="shared" ref="K38:K49" si="5">SUM(B38:J38)</f>
        <v>177.85900000000001</v>
      </c>
      <c r="L38" s="2"/>
      <c r="M38" s="37"/>
    </row>
    <row r="39" spans="1:15" ht="20.100000000000001" customHeight="1" x14ac:dyDescent="0.25">
      <c r="A39" s="97" t="s">
        <v>11</v>
      </c>
      <c r="B39" s="83">
        <f>3.557527+1.016</f>
        <v>4.5735270000000003</v>
      </c>
      <c r="C39" s="6">
        <v>8.2435589999999994</v>
      </c>
      <c r="D39" s="6">
        <f>7.605624</f>
        <v>7.6056239999999997</v>
      </c>
      <c r="E39" s="8">
        <f>126.783972+0.14525+2.855912</f>
        <v>129.785134</v>
      </c>
      <c r="F39" s="8">
        <v>2.4500000000000002</v>
      </c>
      <c r="G39" s="6">
        <f>0.03+0.002+0.1+0.2+0.003+0.001+0.02</f>
        <v>0.35600000000000004</v>
      </c>
      <c r="H39" s="6">
        <f>16.81+1.09</f>
        <v>17.899999999999999</v>
      </c>
      <c r="I39" s="6">
        <f>1.3+3.1</f>
        <v>4.4000000000000004</v>
      </c>
      <c r="J39" s="40">
        <v>0</v>
      </c>
      <c r="K39" s="93">
        <f t="shared" si="5"/>
        <v>175.31384399999999</v>
      </c>
      <c r="L39" s="2"/>
      <c r="M39" s="38"/>
      <c r="N39" s="22"/>
    </row>
    <row r="40" spans="1:15" ht="20.100000000000001" customHeight="1" x14ac:dyDescent="0.25">
      <c r="A40" s="97">
        <v>2011</v>
      </c>
      <c r="B40" s="83">
        <f>2.320539+0.05+1.57</f>
        <v>3.9405390000000002</v>
      </c>
      <c r="C40" s="6">
        <v>7.9364470000000003</v>
      </c>
      <c r="D40" s="6">
        <v>7.3961480000000002</v>
      </c>
      <c r="E40" s="8">
        <f>1.456552+127.4838+3.001208</f>
        <v>131.94155999999998</v>
      </c>
      <c r="F40" s="8">
        <v>15.979994</v>
      </c>
      <c r="G40" s="6">
        <f>0.21+0.015+0.005+0.02+0.08+0.52+0.05+0.003</f>
        <v>0.90300000000000002</v>
      </c>
      <c r="H40" s="6">
        <f>7.21+12.67+0.19+1.38</f>
        <v>21.45</v>
      </c>
      <c r="I40" s="6">
        <f>0.06+0.4+7.51</f>
        <v>7.97</v>
      </c>
      <c r="J40" s="40">
        <v>0</v>
      </c>
      <c r="K40" s="93">
        <f t="shared" si="5"/>
        <v>197.51768799999996</v>
      </c>
      <c r="L40" s="2"/>
      <c r="M40" s="22"/>
      <c r="N40" s="22"/>
    </row>
    <row r="41" spans="1:15" ht="20.100000000000001" customHeight="1" x14ac:dyDescent="0.25">
      <c r="A41" s="97">
        <v>2012</v>
      </c>
      <c r="B41" s="83">
        <f>1.79+4.049937</f>
        <v>5.8399369999999999</v>
      </c>
      <c r="C41" s="6">
        <v>8.4812940000000001</v>
      </c>
      <c r="D41" s="6">
        <v>7.1500570000000003</v>
      </c>
      <c r="E41" s="8">
        <f>132.72005+0.721752+2.810449</f>
        <v>136.252251</v>
      </c>
      <c r="F41" s="8">
        <v>13.739998</v>
      </c>
      <c r="G41" s="6">
        <f>0.17+0.012+0.005+0.02+0.09+0.065+0.25+0.007+0.006+0.08</f>
        <v>0.70500000000000007</v>
      </c>
      <c r="H41" s="6">
        <f>23.255+2.79</f>
        <v>26.044999999999998</v>
      </c>
      <c r="I41" s="6">
        <f>0.025+0.95+1.38</f>
        <v>2.355</v>
      </c>
      <c r="J41" s="40">
        <v>0</v>
      </c>
      <c r="K41" s="93">
        <f t="shared" si="5"/>
        <v>200.56853700000002</v>
      </c>
      <c r="L41" s="2"/>
      <c r="M41" s="38"/>
      <c r="N41" s="22"/>
    </row>
    <row r="42" spans="1:15" ht="20.100000000000001" customHeight="1" x14ac:dyDescent="0.25">
      <c r="A42" s="97">
        <v>2013</v>
      </c>
      <c r="B42" s="83">
        <f>1.76+3.642828</f>
        <v>5.4028280000000004</v>
      </c>
      <c r="C42" s="6">
        <f>0.03+9.451368</f>
        <v>9.4813679999999998</v>
      </c>
      <c r="D42" s="6">
        <v>6.5558730000000001</v>
      </c>
      <c r="E42" s="8">
        <f>110.084111+7.825774+0.159975+2.105767</f>
        <v>120.17562699999999</v>
      </c>
      <c r="F42" s="8">
        <v>22.149996000000002</v>
      </c>
      <c r="G42" s="6">
        <f>0.16+0.02+0.01+0.015+0.02+0.08+0.415+0.004+0.04+0.03</f>
        <v>0.79400000000000004</v>
      </c>
      <c r="H42" s="6">
        <f>0.48+0.112+19.24+1.89</f>
        <v>21.721999999999998</v>
      </c>
      <c r="I42" s="6">
        <f>0.06+1.41+0.53+1.2+1.98</f>
        <v>5.18</v>
      </c>
      <c r="J42" s="40">
        <v>0</v>
      </c>
      <c r="K42" s="93">
        <f t="shared" si="5"/>
        <v>191.46169200000003</v>
      </c>
      <c r="L42" s="2"/>
      <c r="M42" s="22"/>
      <c r="N42" s="22"/>
    </row>
    <row r="43" spans="1:15" ht="20.100000000000001" customHeight="1" x14ac:dyDescent="0.25">
      <c r="A43" s="97">
        <v>2014</v>
      </c>
      <c r="B43" s="83">
        <v>6.894279</v>
      </c>
      <c r="C43" s="6">
        <v>9.7036619999999996</v>
      </c>
      <c r="D43" s="6">
        <v>5.8345359999999999</v>
      </c>
      <c r="E43" s="8">
        <f>98.96156+7.928165+1.841323+0.154695</f>
        <v>108.88574300000001</v>
      </c>
      <c r="F43" s="8">
        <v>17.510012</v>
      </c>
      <c r="G43" s="6">
        <f>0.15+0.015+0.01+0.012+0.06+0.11+0.35+0.007+0.005+0.05</f>
        <v>0.76900000000000002</v>
      </c>
      <c r="H43" s="6">
        <f>0.017+21.196+1.91</f>
        <v>23.123000000000001</v>
      </c>
      <c r="I43" s="6">
        <f>0.32+1.35</f>
        <v>1.6700000000000002</v>
      </c>
      <c r="J43" s="40">
        <v>0.98</v>
      </c>
      <c r="K43" s="93">
        <f t="shared" si="5"/>
        <v>175.37023199999996</v>
      </c>
      <c r="L43" s="2"/>
      <c r="M43" s="22"/>
      <c r="N43" s="22"/>
    </row>
    <row r="44" spans="1:15" ht="20.100000000000001" customHeight="1" x14ac:dyDescent="0.25">
      <c r="A44" s="97">
        <v>2015</v>
      </c>
      <c r="B44" s="83">
        <v>8.2191860000000005</v>
      </c>
      <c r="C44" s="6">
        <v>9.8990259999999992</v>
      </c>
      <c r="D44" s="6">
        <v>6.6532770000000001</v>
      </c>
      <c r="E44" s="8">
        <f>99.43259+1.756082</f>
        <v>101.18867200000001</v>
      </c>
      <c r="F44" s="8">
        <v>22.629985000000001</v>
      </c>
      <c r="G44" s="6">
        <f>0.17+0.01+0.005+0.06+0.23+0.003+0.002</f>
        <v>0.48000000000000004</v>
      </c>
      <c r="H44" s="6">
        <f>0.55+26.25+2.07</f>
        <v>28.87</v>
      </c>
      <c r="I44" s="6">
        <f>0.02+2.9+0.85</f>
        <v>3.77</v>
      </c>
      <c r="J44" s="40">
        <v>2.16</v>
      </c>
      <c r="K44" s="93">
        <f t="shared" si="5"/>
        <v>183.87014600000001</v>
      </c>
      <c r="L44" s="2"/>
      <c r="M44" s="22"/>
      <c r="N44" s="22"/>
    </row>
    <row r="45" spans="1:15" ht="20.100000000000001" customHeight="1" x14ac:dyDescent="0.25">
      <c r="A45" s="97">
        <v>2016</v>
      </c>
      <c r="B45" s="83">
        <v>7.43</v>
      </c>
      <c r="C45" s="6">
        <v>10.49</v>
      </c>
      <c r="D45" s="6">
        <v>6.47</v>
      </c>
      <c r="E45" s="8">
        <v>106.81</v>
      </c>
      <c r="F45" s="8">
        <v>24.14</v>
      </c>
      <c r="G45" s="6">
        <v>0.54200000000000004</v>
      </c>
      <c r="H45" s="6">
        <v>30.09</v>
      </c>
      <c r="I45" s="6">
        <v>1.69</v>
      </c>
      <c r="J45" s="40">
        <v>0.87</v>
      </c>
      <c r="K45" s="93">
        <f t="shared" si="5"/>
        <v>188.53199999999998</v>
      </c>
      <c r="L45" s="2"/>
      <c r="M45" s="22"/>
      <c r="N45" s="22"/>
    </row>
    <row r="46" spans="1:15" ht="20.100000000000001" customHeight="1" x14ac:dyDescent="0.25">
      <c r="A46" s="97">
        <v>2017</v>
      </c>
      <c r="B46" s="83">
        <v>10.38</v>
      </c>
      <c r="C46" s="6">
        <v>12.59</v>
      </c>
      <c r="D46" s="6">
        <v>6.68</v>
      </c>
      <c r="E46" s="8">
        <v>100.92</v>
      </c>
      <c r="F46" s="8">
        <v>19.77</v>
      </c>
      <c r="G46" s="6">
        <v>0.53</v>
      </c>
      <c r="H46" s="6">
        <v>36.049999999999997</v>
      </c>
      <c r="I46" s="6">
        <v>0.8</v>
      </c>
      <c r="J46" s="40">
        <v>8.9</v>
      </c>
      <c r="K46" s="93">
        <f t="shared" si="5"/>
        <v>196.62000000000003</v>
      </c>
      <c r="L46" s="2"/>
      <c r="M46" s="22"/>
      <c r="N46" s="22"/>
    </row>
    <row r="47" spans="1:15" ht="20.100000000000001" customHeight="1" x14ac:dyDescent="0.25">
      <c r="A47" s="97">
        <v>2018</v>
      </c>
      <c r="B47" s="83">
        <v>10.55</v>
      </c>
      <c r="C47" s="6">
        <v>14.29</v>
      </c>
      <c r="D47" s="6">
        <v>9.68</v>
      </c>
      <c r="E47" s="8">
        <v>81.540000000000006</v>
      </c>
      <c r="F47" s="8">
        <v>25.01</v>
      </c>
      <c r="G47" s="6">
        <v>1.39</v>
      </c>
      <c r="H47" s="6">
        <v>28.78</v>
      </c>
      <c r="I47" s="6">
        <v>1.44</v>
      </c>
      <c r="J47" s="40">
        <v>19.11</v>
      </c>
      <c r="K47" s="93">
        <f t="shared" si="5"/>
        <v>191.78999999999996</v>
      </c>
      <c r="L47" s="2"/>
      <c r="M47" s="22"/>
      <c r="N47" s="22"/>
    </row>
    <row r="48" spans="1:15" ht="20.100000000000001" customHeight="1" thickBot="1" x14ac:dyDescent="0.3">
      <c r="A48" s="126">
        <v>2019</v>
      </c>
      <c r="B48" s="127">
        <v>12.87</v>
      </c>
      <c r="C48" s="128">
        <v>16.809999999999999</v>
      </c>
      <c r="D48" s="128">
        <v>9.39</v>
      </c>
      <c r="E48" s="129">
        <v>93</v>
      </c>
      <c r="F48" s="129">
        <v>13.1</v>
      </c>
      <c r="G48" s="128">
        <v>0.44</v>
      </c>
      <c r="H48" s="128">
        <v>33.729999999999997</v>
      </c>
      <c r="I48" s="128">
        <v>0.84</v>
      </c>
      <c r="J48" s="130">
        <v>29.42</v>
      </c>
      <c r="K48" s="131">
        <f t="shared" si="5"/>
        <v>209.59999999999997</v>
      </c>
      <c r="L48" s="1"/>
      <c r="M48" s="22"/>
      <c r="N48" s="22"/>
    </row>
    <row r="49" spans="1:15" ht="20.100000000000001" customHeight="1" thickBot="1" x14ac:dyDescent="0.3">
      <c r="A49" s="126">
        <v>2020</v>
      </c>
      <c r="B49" s="127">
        <v>11.98</v>
      </c>
      <c r="C49" s="128">
        <v>19.53</v>
      </c>
      <c r="D49" s="128">
        <v>11.35</v>
      </c>
      <c r="E49" s="129">
        <v>97.72</v>
      </c>
      <c r="F49" s="129">
        <v>0</v>
      </c>
      <c r="G49" s="128">
        <v>2.94</v>
      </c>
      <c r="H49" s="128">
        <v>55.67</v>
      </c>
      <c r="I49" s="128">
        <v>0.76</v>
      </c>
      <c r="J49" s="130">
        <v>40.869999999999997</v>
      </c>
      <c r="K49" s="131">
        <f t="shared" si="5"/>
        <v>240.82</v>
      </c>
      <c r="L49" s="1"/>
      <c r="M49" s="22"/>
      <c r="N49" s="22"/>
    </row>
    <row r="50" spans="1:15" s="12" customFormat="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25"/>
      <c r="M50" s="23"/>
      <c r="N50" s="23"/>
      <c r="O50" s="13"/>
    </row>
    <row r="51" spans="1:15" s="12" customFormat="1" ht="15.75" thickBot="1" x14ac:dyDescent="0.3">
      <c r="A51" s="26"/>
      <c r="B51" s="27"/>
      <c r="C51" s="24"/>
      <c r="D51" s="24"/>
      <c r="E51" s="24"/>
      <c r="F51" s="24"/>
      <c r="G51" s="24"/>
      <c r="H51" s="24"/>
      <c r="I51" s="24"/>
      <c r="J51" s="24"/>
      <c r="K51" s="25"/>
      <c r="L51" s="25"/>
      <c r="M51" s="23"/>
      <c r="N51" s="23"/>
      <c r="O51" s="13"/>
    </row>
    <row r="52" spans="1:15" s="12" customFormat="1" ht="45.75" thickBot="1" x14ac:dyDescent="0.3">
      <c r="A52" s="58" t="s">
        <v>39</v>
      </c>
      <c r="B52" s="59" t="s">
        <v>14</v>
      </c>
      <c r="C52" s="59" t="s">
        <v>15</v>
      </c>
      <c r="D52" s="59" t="s">
        <v>8</v>
      </c>
      <c r="E52" s="60" t="s">
        <v>16</v>
      </c>
      <c r="F52" s="60" t="s">
        <v>7</v>
      </c>
      <c r="G52" s="59" t="s">
        <v>17</v>
      </c>
      <c r="H52" s="59" t="s">
        <v>10</v>
      </c>
      <c r="I52" s="59" t="s">
        <v>9</v>
      </c>
      <c r="J52" s="59" t="s">
        <v>47</v>
      </c>
      <c r="K52" s="61" t="s">
        <v>6</v>
      </c>
      <c r="L52" s="3"/>
      <c r="M52" s="11"/>
      <c r="N52" s="11"/>
      <c r="O52" s="13"/>
    </row>
    <row r="53" spans="1:15" s="12" customFormat="1" ht="20.100000000000001" customHeight="1" x14ac:dyDescent="0.25">
      <c r="A53" s="62" t="s">
        <v>22</v>
      </c>
      <c r="B53" s="63">
        <v>0.86070000000000002</v>
      </c>
      <c r="C53" s="63">
        <v>1.7799</v>
      </c>
      <c r="D53" s="63">
        <v>0.97570000000000001</v>
      </c>
      <c r="E53" s="64">
        <v>12.389699999999999</v>
      </c>
      <c r="F53" s="64">
        <v>0</v>
      </c>
      <c r="G53" s="63">
        <v>0</v>
      </c>
      <c r="H53" s="63">
        <v>0.85</v>
      </c>
      <c r="I53" s="63">
        <v>0.03</v>
      </c>
      <c r="J53" s="63">
        <v>0</v>
      </c>
      <c r="K53" s="65">
        <f t="shared" ref="K53:K58" si="6">SUM(B53:J53)</f>
        <v>16.886000000000003</v>
      </c>
      <c r="L53" s="14"/>
      <c r="M53" s="11"/>
      <c r="N53" s="11"/>
      <c r="O53" s="13"/>
    </row>
    <row r="54" spans="1:15" s="12" customFormat="1" ht="20.100000000000001" customHeight="1" x14ac:dyDescent="0.25">
      <c r="A54" s="49" t="s">
        <v>23</v>
      </c>
      <c r="B54" s="6">
        <v>0.89970000000000006</v>
      </c>
      <c r="C54" s="6">
        <v>1.2885</v>
      </c>
      <c r="D54" s="6">
        <v>0.65300000000000002</v>
      </c>
      <c r="E54" s="8">
        <v>8.0749999999999993</v>
      </c>
      <c r="F54" s="8">
        <v>0</v>
      </c>
      <c r="G54" s="6">
        <v>0</v>
      </c>
      <c r="H54" s="6">
        <v>1.41</v>
      </c>
      <c r="I54" s="6">
        <v>0</v>
      </c>
      <c r="J54" s="6">
        <v>0</v>
      </c>
      <c r="K54" s="39">
        <f t="shared" si="6"/>
        <v>12.3262</v>
      </c>
      <c r="L54" s="14"/>
      <c r="M54" s="11"/>
      <c r="N54" s="11"/>
      <c r="O54" s="13"/>
    </row>
    <row r="55" spans="1:15" s="12" customFormat="1" ht="20.100000000000001" customHeight="1" x14ac:dyDescent="0.25">
      <c r="A55" s="49" t="s">
        <v>24</v>
      </c>
      <c r="B55" s="6">
        <v>0.29170000000000001</v>
      </c>
      <c r="C55" s="6">
        <v>1.3372999999999999</v>
      </c>
      <c r="D55" s="6">
        <v>0.90610000000000002</v>
      </c>
      <c r="E55" s="8">
        <v>8.3856999999999999</v>
      </c>
      <c r="F55" s="8">
        <v>0</v>
      </c>
      <c r="G55" s="6">
        <v>0.04</v>
      </c>
      <c r="H55" s="6">
        <v>1.03</v>
      </c>
      <c r="I55" s="6">
        <v>0</v>
      </c>
      <c r="J55" s="6">
        <v>0</v>
      </c>
      <c r="K55" s="39">
        <f t="shared" si="6"/>
        <v>11.990799999999998</v>
      </c>
      <c r="L55" s="14"/>
      <c r="M55" s="11"/>
      <c r="N55" s="11"/>
      <c r="O55" s="13"/>
    </row>
    <row r="56" spans="1:15" s="12" customFormat="1" ht="20.100000000000001" customHeight="1" x14ac:dyDescent="0.25">
      <c r="A56" s="49" t="s">
        <v>25</v>
      </c>
      <c r="B56" s="6">
        <v>1.0262739999999999</v>
      </c>
      <c r="C56" s="6">
        <v>1.818883</v>
      </c>
      <c r="D56" s="6">
        <v>1.4497466999999999</v>
      </c>
      <c r="E56" s="8">
        <v>7.2430089999999998</v>
      </c>
      <c r="F56" s="8">
        <v>0</v>
      </c>
      <c r="G56" s="6">
        <v>0</v>
      </c>
      <c r="H56" s="6">
        <v>3.73</v>
      </c>
      <c r="I56" s="6">
        <v>0</v>
      </c>
      <c r="J56" s="6">
        <v>7.26</v>
      </c>
      <c r="K56" s="39">
        <f t="shared" si="6"/>
        <v>22.527912700000002</v>
      </c>
      <c r="L56" s="3"/>
      <c r="M56" s="11"/>
      <c r="N56" s="11"/>
      <c r="O56" s="13"/>
    </row>
    <row r="57" spans="1:15" s="12" customFormat="1" ht="20.100000000000001" customHeight="1" x14ac:dyDescent="0.25">
      <c r="A57" s="49" t="s">
        <v>26</v>
      </c>
      <c r="B57" s="6">
        <v>0.750973</v>
      </c>
      <c r="C57" s="6">
        <v>1.616727</v>
      </c>
      <c r="D57" s="6">
        <v>1.1196079999999999</v>
      </c>
      <c r="E57" s="8">
        <v>6.5488099999999996</v>
      </c>
      <c r="F57" s="8">
        <v>0</v>
      </c>
      <c r="G57" s="6">
        <v>2.6080000000000001</v>
      </c>
      <c r="H57" s="6">
        <v>16.48</v>
      </c>
      <c r="I57" s="6">
        <v>0.73</v>
      </c>
      <c r="J57" s="6">
        <v>0</v>
      </c>
      <c r="K57" s="39">
        <f t="shared" si="6"/>
        <v>29.854118000000003</v>
      </c>
      <c r="L57" s="3"/>
      <c r="M57" s="11"/>
      <c r="N57" s="11"/>
      <c r="O57" s="13"/>
    </row>
    <row r="58" spans="1:15" s="12" customFormat="1" ht="20.100000000000001" customHeight="1" x14ac:dyDescent="0.25">
      <c r="A58" s="49" t="s">
        <v>27</v>
      </c>
      <c r="B58" s="6">
        <v>0.55821900000000002</v>
      </c>
      <c r="C58" s="6">
        <v>1.4187529999999999</v>
      </c>
      <c r="D58" s="6">
        <v>0.93649800000000005</v>
      </c>
      <c r="E58" s="8">
        <v>6.928617</v>
      </c>
      <c r="F58" s="8">
        <v>0</v>
      </c>
      <c r="G58" s="6">
        <v>0</v>
      </c>
      <c r="H58" s="6">
        <v>2.14</v>
      </c>
      <c r="I58" s="6">
        <v>0</v>
      </c>
      <c r="J58" s="6">
        <v>0</v>
      </c>
      <c r="K58" s="39">
        <f t="shared" si="6"/>
        <v>11.982087</v>
      </c>
      <c r="L58" s="3"/>
      <c r="M58" s="11"/>
      <c r="N58" s="11"/>
      <c r="O58" s="13"/>
    </row>
    <row r="59" spans="1:15" ht="20.100000000000001" customHeight="1" x14ac:dyDescent="0.25">
      <c r="A59" s="49" t="s">
        <v>28</v>
      </c>
      <c r="B59" s="6">
        <v>0.73667199999999999</v>
      </c>
      <c r="C59" s="6">
        <v>1.4820690000000001</v>
      </c>
      <c r="D59" s="6">
        <v>0.652582</v>
      </c>
      <c r="E59" s="8">
        <v>9.4372969999999992</v>
      </c>
      <c r="F59" s="8">
        <v>0</v>
      </c>
      <c r="G59" s="6">
        <v>0.08</v>
      </c>
      <c r="H59" s="6">
        <v>3.83</v>
      </c>
      <c r="I59" s="6">
        <v>0</v>
      </c>
      <c r="J59" s="6">
        <v>20.170000000000002</v>
      </c>
      <c r="K59" s="39">
        <f t="shared" ref="K59:K65" si="7">SUM(B59:J59)</f>
        <v>36.388620000000003</v>
      </c>
    </row>
    <row r="60" spans="1:15" ht="20.100000000000001" customHeight="1" x14ac:dyDescent="0.25">
      <c r="A60" s="49" t="s">
        <v>29</v>
      </c>
      <c r="B60" s="6">
        <v>1.38</v>
      </c>
      <c r="C60" s="6">
        <v>1.29</v>
      </c>
      <c r="D60" s="6">
        <v>0.79</v>
      </c>
      <c r="E60" s="8">
        <v>4.91</v>
      </c>
      <c r="F60" s="8">
        <v>0</v>
      </c>
      <c r="G60" s="6">
        <v>0</v>
      </c>
      <c r="H60" s="6">
        <v>4.42</v>
      </c>
      <c r="I60" s="6">
        <v>0</v>
      </c>
      <c r="J60" s="6">
        <v>0</v>
      </c>
      <c r="K60" s="39">
        <f t="shared" si="7"/>
        <v>12.790000000000001</v>
      </c>
    </row>
    <row r="61" spans="1:15" ht="20.100000000000001" customHeight="1" x14ac:dyDescent="0.25">
      <c r="A61" s="49" t="s">
        <v>30</v>
      </c>
      <c r="B61" s="6">
        <v>1.482899</v>
      </c>
      <c r="C61" s="6">
        <v>2.5641669999999999</v>
      </c>
      <c r="D61" s="6">
        <v>0.84364099999999997</v>
      </c>
      <c r="E61" s="8">
        <v>6.2818589999999999</v>
      </c>
      <c r="F61" s="8">
        <v>0</v>
      </c>
      <c r="G61" s="6">
        <v>0.13400000000000001</v>
      </c>
      <c r="H61" s="6">
        <v>3.43</v>
      </c>
      <c r="I61" s="6">
        <v>0</v>
      </c>
      <c r="J61" s="6">
        <v>0</v>
      </c>
      <c r="K61" s="39">
        <f t="shared" si="7"/>
        <v>14.736566</v>
      </c>
    </row>
    <row r="62" spans="1:15" ht="20.100000000000001" customHeight="1" x14ac:dyDescent="0.25">
      <c r="A62" s="49" t="s">
        <v>31</v>
      </c>
      <c r="B62" s="6">
        <v>1.3638619999999999</v>
      </c>
      <c r="C62" s="6">
        <v>1.5374540000000001</v>
      </c>
      <c r="D62" s="6">
        <v>1.070576</v>
      </c>
      <c r="E62" s="8">
        <v>6.579288</v>
      </c>
      <c r="F62" s="8">
        <v>0</v>
      </c>
      <c r="G62" s="6">
        <v>0.04</v>
      </c>
      <c r="H62" s="6">
        <v>3.09</v>
      </c>
      <c r="I62" s="6">
        <v>0</v>
      </c>
      <c r="J62" s="6">
        <v>0</v>
      </c>
      <c r="K62" s="39">
        <f t="shared" si="7"/>
        <v>13.681179999999999</v>
      </c>
    </row>
    <row r="63" spans="1:15" ht="20.100000000000001" customHeight="1" x14ac:dyDescent="0.25">
      <c r="A63" s="49" t="s">
        <v>32</v>
      </c>
      <c r="B63" s="45">
        <v>1.37</v>
      </c>
      <c r="C63" s="45">
        <v>1.53</v>
      </c>
      <c r="D63" s="45">
        <v>1.02</v>
      </c>
      <c r="E63" s="46">
        <v>9.61</v>
      </c>
      <c r="F63" s="46">
        <v>0</v>
      </c>
      <c r="G63" s="21">
        <v>0.03</v>
      </c>
      <c r="H63" s="21">
        <v>3.54</v>
      </c>
      <c r="I63" s="21">
        <v>0</v>
      </c>
      <c r="J63" s="132">
        <v>13.44</v>
      </c>
      <c r="K63" s="47">
        <f t="shared" si="7"/>
        <v>30.54</v>
      </c>
    </row>
    <row r="64" spans="1:15" ht="20.100000000000001" customHeight="1" thickBot="1" x14ac:dyDescent="0.3">
      <c r="A64" s="50" t="s">
        <v>33</v>
      </c>
      <c r="B64" s="66">
        <v>1.26</v>
      </c>
      <c r="C64" s="66">
        <v>1.87</v>
      </c>
      <c r="D64" s="66">
        <v>0.93</v>
      </c>
      <c r="E64" s="67">
        <v>11.33</v>
      </c>
      <c r="F64" s="67">
        <v>0</v>
      </c>
      <c r="G64" s="68">
        <v>0.01</v>
      </c>
      <c r="H64" s="68">
        <v>11.72</v>
      </c>
      <c r="I64" s="68">
        <v>0</v>
      </c>
      <c r="J64" s="68">
        <v>0</v>
      </c>
      <c r="K64" s="69">
        <f t="shared" si="7"/>
        <v>27.12</v>
      </c>
    </row>
    <row r="65" spans="1:12" ht="20.100000000000001" customHeight="1" thickBot="1" x14ac:dyDescent="0.3">
      <c r="A65" s="52" t="s">
        <v>36</v>
      </c>
      <c r="B65" s="53">
        <f t="shared" ref="B65:J65" si="8">SUM(B53:B64)</f>
        <v>11.980998999999999</v>
      </c>
      <c r="C65" s="53">
        <f t="shared" si="8"/>
        <v>19.533752999999997</v>
      </c>
      <c r="D65" s="53">
        <f t="shared" si="8"/>
        <v>11.347451700000001</v>
      </c>
      <c r="E65" s="54">
        <f>SUM(E53:E64)</f>
        <v>97.719279999999998</v>
      </c>
      <c r="F65" s="54">
        <f t="shared" si="8"/>
        <v>0</v>
      </c>
      <c r="G65" s="53">
        <f t="shared" si="8"/>
        <v>2.9419999999999997</v>
      </c>
      <c r="H65" s="53">
        <f t="shared" si="8"/>
        <v>55.669999999999995</v>
      </c>
      <c r="I65" s="53">
        <f t="shared" si="8"/>
        <v>0.76</v>
      </c>
      <c r="J65" s="53">
        <f t="shared" si="8"/>
        <v>40.869999999999997</v>
      </c>
      <c r="K65" s="55">
        <f t="shared" si="7"/>
        <v>240.82348369999997</v>
      </c>
      <c r="L65" s="14"/>
    </row>
  </sheetData>
  <mergeCells count="1">
    <mergeCell ref="B36:D36"/>
  </mergeCells>
  <pageMargins left="0.25" right="0.25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Rucki</dc:creator>
  <cp:lastModifiedBy>David Ćmiel</cp:lastModifiedBy>
  <cp:lastPrinted>2020-04-23T10:13:19Z</cp:lastPrinted>
  <dcterms:created xsi:type="dcterms:W3CDTF">2016-04-28T08:37:01Z</dcterms:created>
  <dcterms:modified xsi:type="dcterms:W3CDTF">2021-03-17T14:06:27Z</dcterms:modified>
</cp:coreProperties>
</file>